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<sst xmlns="http://schemas.openxmlformats.org/spreadsheetml/2006/main" count="162" uniqueCount="112">
  <si>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</si>
  <si>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</si>
  <si>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</si>
  <si>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</si>
  <si>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</si>
  <si>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</si>
  <si>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</si>
  <si>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</si>
  <si>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</si>
  <si>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</si>
  <si>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</si>
  <si>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</si>
  <si>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</si>
  <si>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</si>
  <si>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</si>
  <si>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</si>
  <si>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</si>
  <si>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</si>
  <si>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</si>
  <si>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</si>
  <si>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</si>
  <si>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</si>
  <si>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</si>
  <si>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</si>
  <si>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</si>
  <si>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</si>
  <si>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</si>
  <si>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</si>
  <si>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</si>
  <si>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</si>
  <si>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</si>
  <si>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</si>
  <si>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</si>
  <si>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</si>
  <si>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</si>
  <si>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</si>
  <si>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</si>
  <si>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</si>
  <si>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</si>
  <si>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</si>
  <si>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</si>
  <si>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</si>
  <si>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</si>
  <si>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</si>
  <si>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</si>
  <si>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</si>
  <si>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</si>
  <si>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</si>
  <si>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</si>
  <si>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</si>
  <si>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</si>
  <si>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</si>
  <si>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</si>
  <si>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</si>
  <si>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</si>
  <si>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</si>
  <si>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</si>
  <si>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</si>
  <si>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</si>
  <si>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</si>
  <si>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</si>
  <si>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</si>
  <si>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</si>
  <si>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</si>
  <si>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</si>
  <si>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</si>
  <si>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</si>
  <si>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</si>
  <si>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</si>
  <si>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</si>
  <si>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</si>
  <si>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</si>
  <si>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</si>
  <si>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</si>
  <si>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</si>
  <si>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</si>
  <si>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</si>
  <si>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</si>
  <si>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</si>
  <si>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</si>
  <si>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</si>
  <si>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</si>
  <si>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</si>
  <si>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</si>
  <si>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</si>
  <si>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</si>
  <si>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</si>
  <si>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</si>
  <si>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</si>
  <si>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</si>
  <si>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</si>
  <si>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</si>
  <si>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</si>
  <si>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</si>
  <si>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</si>
  <si>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</si>
  <si>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</si>
  <si>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</si>
  <si>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</si>
  <si>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</si>
  <si>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</si>
  <si>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</si>
  <si>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</si>
  <si>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</si>
  <si>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</si>
  <si>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</si>
  <si>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</si>
  <si>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</si>
  <si>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</si>
  <si>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</si>
  <si>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</si>
  <si>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13.12.2016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</si>
</sst>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60512777"/>
        <c:axId val="12336058"/>
      </c:bar3DChart>
      <c:catAx>
        <c:axId val="60512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36058"/>
        <c:crosses val="autoZero"/>
        <c:auto val="1"/>
        <c:lblOffset val="100"/>
        <c:tickLblSkip val="1"/>
        <c:noMultiLvlLbl val="0"/>
      </c:catAx>
      <c:valAx>
        <c:axId val="12336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127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487067"/>
        <c:axId val="23866284"/>
      </c:bar3DChart>
      <c:catAx>
        <c:axId val="487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66284"/>
        <c:crosses val="autoZero"/>
        <c:auto val="1"/>
        <c:lblOffset val="100"/>
        <c:tickLblSkip val="1"/>
        <c:noMultiLvlLbl val="0"/>
      </c:catAx>
      <c:valAx>
        <c:axId val="23866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28597229"/>
        <c:axId val="59086942"/>
      </c:bar3DChart>
      <c:catAx>
        <c:axId val="28597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86942"/>
        <c:crosses val="autoZero"/>
        <c:auto val="1"/>
        <c:lblOffset val="100"/>
        <c:tickLblSkip val="1"/>
        <c:noMultiLvlLbl val="0"/>
      </c:catAx>
      <c:valAx>
        <c:axId val="59086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972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9579007"/>
        <c:axId val="66718160"/>
      </c:bar3DChart>
      <c:catAx>
        <c:axId val="957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18160"/>
        <c:crosses val="autoZero"/>
        <c:auto val="1"/>
        <c:lblOffset val="100"/>
        <c:tickLblSkip val="1"/>
        <c:noMultiLvlLbl val="0"/>
      </c:catAx>
      <c:valAx>
        <c:axId val="66718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79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47964369"/>
        <c:axId val="1443842"/>
      </c:bar3DChart>
      <c:catAx>
        <c:axId val="4796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3842"/>
        <c:crosses val="autoZero"/>
        <c:auto val="1"/>
        <c:lblOffset val="100"/>
        <c:tickLblSkip val="2"/>
        <c:noMultiLvlLbl val="0"/>
      </c:catAx>
      <c:valAx>
        <c:axId val="1443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643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3639395"/>
        <c:axId val="44112628"/>
      </c:bar3DChart>
      <c:catAx>
        <c:axId val="3639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12628"/>
        <c:crosses val="autoZero"/>
        <c:auto val="1"/>
        <c:lblOffset val="100"/>
        <c:tickLblSkip val="1"/>
        <c:noMultiLvlLbl val="0"/>
      </c:catAx>
      <c:valAx>
        <c:axId val="441126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93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14035125"/>
        <c:axId val="16632486"/>
      </c:bar3DChart>
      <c:catAx>
        <c:axId val="1403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632486"/>
        <c:crosses val="autoZero"/>
        <c:auto val="1"/>
        <c:lblOffset val="100"/>
        <c:tickLblSkip val="1"/>
        <c:noMultiLvlLbl val="0"/>
      </c:catAx>
      <c:valAx>
        <c:axId val="16632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351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9685447"/>
        <c:axId val="4824856"/>
      </c:bar3DChart>
      <c:catAx>
        <c:axId val="968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4856"/>
        <c:crosses val="autoZero"/>
        <c:auto val="1"/>
        <c:lblOffset val="100"/>
        <c:tickLblSkip val="1"/>
        <c:noMultiLvlLbl val="0"/>
      </c:catAx>
      <c:valAx>
        <c:axId val="4824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854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35091353"/>
        <c:axId val="41754698"/>
      </c:bar3DChart>
      <c:catAx>
        <c:axId val="35091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54698"/>
        <c:crosses val="autoZero"/>
        <c:auto val="1"/>
        <c:lblOffset val="100"/>
        <c:tickLblSkip val="1"/>
        <c:noMultiLvlLbl val="0"/>
      </c:catAx>
      <c:valAx>
        <c:axId val="41754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91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6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0" customHeight="1">
      <c r="A1" s="128" t="s">
        <v>111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108</v>
      </c>
      <c r="C3" s="129" t="s">
        <v>99</v>
      </c>
      <c r="D3" s="129" t="s">
        <v>23</v>
      </c>
      <c r="E3" s="129" t="s">
        <v>22</v>
      </c>
      <c r="F3" s="129" t="s">
        <v>109</v>
      </c>
      <c r="G3" s="129" t="s">
        <v>101</v>
      </c>
      <c r="H3" s="129" t="s">
        <v>110</v>
      </c>
      <c r="I3" s="129" t="s">
        <v>100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f>406799.8+177+726.1</f>
        <v>407702.89999999997</v>
      </c>
      <c r="C6" s="46">
        <f>426773.1+25+188.4+2200.9+6.1-1051.6+141.1+593.1+16568.5+4904.2+177+742.5-1039.7</f>
        <v>450228.6</v>
      </c>
      <c r="D6" s="47">
        <f>332980.2+473.5+94.1+160.7+5895.8+8746.9+145.1+473.2+40.2+1154.4+173.1+6.7+1143.7+6208.9+2190.9+7831.9+213.4+23+0.1+177.3+463+937.8+2899.3</f>
        <v>372433.20000000007</v>
      </c>
      <c r="E6" s="3">
        <f>D6/D150*100</f>
        <v>27.179990887778903</v>
      </c>
      <c r="F6" s="3">
        <f>D6/B6*100</f>
        <v>91.34916626788775</v>
      </c>
      <c r="G6" s="3">
        <f aca="true" t="shared" si="0" ref="G6:G43">D6/C6*100</f>
        <v>82.72091111048923</v>
      </c>
      <c r="H6" s="47">
        <f>B6-D6</f>
        <v>35269.699999999895</v>
      </c>
      <c r="I6" s="47">
        <f aca="true" t="shared" si="1" ref="I6:I43">C6-D6</f>
        <v>77795.3999999999</v>
      </c>
    </row>
    <row r="7" spans="1:9" s="37" customFormat="1" ht="18.75">
      <c r="A7" s="104" t="s">
        <v>87</v>
      </c>
      <c r="B7" s="97">
        <v>171592.7</v>
      </c>
      <c r="C7" s="94">
        <f>185717.4+2200.9+593.1-613.8+3218.5</f>
        <v>191116.1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+463+3.9+0.1+5894.4+625.5+2.6+179.3+359.7+139.1+86.3+6208.9+81.6+31.3+149.5+0.2+177.3+7.2+1163.8</f>
        <v>159063.3</v>
      </c>
      <c r="E7" s="95">
        <f>D7/D6*100</f>
        <v>42.70921604196403</v>
      </c>
      <c r="F7" s="95">
        <f>D7/B7*100</f>
        <v>92.69817422302928</v>
      </c>
      <c r="G7" s="95">
        <f>D7/C7*100</f>
        <v>83.22862385743534</v>
      </c>
      <c r="H7" s="105">
        <f>B7-D7</f>
        <v>12529.400000000023</v>
      </c>
      <c r="I7" s="105">
        <f t="shared" si="1"/>
        <v>32052.800000000017</v>
      </c>
    </row>
    <row r="8" spans="1:9" ht="18">
      <c r="A8" s="23" t="s">
        <v>3</v>
      </c>
      <c r="B8" s="42">
        <f>284150.9+24.8</f>
        <v>284175.7</v>
      </c>
      <c r="C8" s="43">
        <f>298081.6+593.1+13792.1+24.8</f>
        <v>312491.5999999999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+1.3+5894.4+5435.7+7.2+1.5+6208.9+7426+93.3</f>
        <v>281105.4999999999</v>
      </c>
      <c r="E8" s="1">
        <f>D8/D6*100</f>
        <v>75.47809915979559</v>
      </c>
      <c r="F8" s="1">
        <f>D8/B8*100</f>
        <v>98.919612056907</v>
      </c>
      <c r="G8" s="1">
        <f t="shared" si="0"/>
        <v>89.95617802206522</v>
      </c>
      <c r="H8" s="44">
        <f>B8-D8</f>
        <v>3070.200000000128</v>
      </c>
      <c r="I8" s="44">
        <f t="shared" si="1"/>
        <v>31386.100000000035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4+2.9+1.6+0.5+0.5+1.9+1.2+1.8+1.6+0.7+2+3.7+0.1+1.9+2.9+1.2+0.4+1.1+0.2+0.6+1.5+1.7+0.3+0.5+1.3-0.1+0.4+0.3+1.5+2.7+0.5+2.5+7.6+1+1.2+2.8+0.3+0.4+1.5+5.8+1.1+1.7+3</f>
        <v>70.29999999999998</v>
      </c>
      <c r="E9" s="12">
        <f>D9/D6*100</f>
        <v>0.018875868209386266</v>
      </c>
      <c r="F9" s="120">
        <f>D9/B9*100</f>
        <v>85.3155339805825</v>
      </c>
      <c r="G9" s="1">
        <f t="shared" si="0"/>
        <v>82.0303383897316</v>
      </c>
      <c r="H9" s="44">
        <f aca="true" t="shared" si="2" ref="H9:H43">B9-D9</f>
        <v>12.100000000000023</v>
      </c>
      <c r="I9" s="44">
        <f t="shared" si="1"/>
        <v>15.40000000000002</v>
      </c>
    </row>
    <row r="10" spans="1:9" ht="18">
      <c r="A10" s="23" t="s">
        <v>1</v>
      </c>
      <c r="B10" s="42">
        <f>29629.8-820.3</f>
        <v>28809.5</v>
      </c>
      <c r="C10" s="43">
        <f>28052.9-28-1051.6+141.1+4575.2-820.3-1469.9</f>
        <v>29399.4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+2.9+429.3+455.9+49.9+159.4+28.8+117.9+269.4+317+223.7+903.7+210.1+43.7+21.8+0.3+81+56.5+1402.9</f>
        <v>26047.400000000016</v>
      </c>
      <c r="E10" s="1">
        <f>D10/D6*100</f>
        <v>6.99384480223568</v>
      </c>
      <c r="F10" s="1">
        <f aca="true" t="shared" si="3" ref="F10:F41">D10/B10*100</f>
        <v>90.4125375310228</v>
      </c>
      <c r="G10" s="1">
        <f t="shared" si="0"/>
        <v>88.59840677020624</v>
      </c>
      <c r="H10" s="44">
        <f t="shared" si="2"/>
        <v>2762.099999999984</v>
      </c>
      <c r="I10" s="44">
        <f t="shared" si="1"/>
        <v>3351.9999999999854</v>
      </c>
    </row>
    <row r="11" spans="1:9" ht="18">
      <c r="A11" s="23" t="s">
        <v>0</v>
      </c>
      <c r="B11" s="42">
        <f>64199.2+821.3</f>
        <v>65020.5</v>
      </c>
      <c r="C11" s="43">
        <f>71654.8+3326+821.3</f>
        <v>75802.1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+686.7+13.7+5.5+2489.4+185.4+429.3+130.9+632.9+384.1+21.8+6.3-0.1+168.9+82.5+90.1+1208.9</f>
        <v>40486.60000000001</v>
      </c>
      <c r="E11" s="1">
        <f>D11/D6*100</f>
        <v>10.87083536054251</v>
      </c>
      <c r="F11" s="1">
        <f t="shared" si="3"/>
        <v>62.26743873086183</v>
      </c>
      <c r="G11" s="1">
        <f t="shared" si="0"/>
        <v>53.410921333314</v>
      </c>
      <c r="H11" s="44">
        <f t="shared" si="2"/>
        <v>24533.899999999987</v>
      </c>
      <c r="I11" s="44">
        <f t="shared" si="1"/>
        <v>35315.49999999999</v>
      </c>
    </row>
    <row r="12" spans="1:9" ht="18">
      <c r="A12" s="23" t="s">
        <v>14</v>
      </c>
      <c r="B12" s="42">
        <f>13330.4-1455.2</f>
        <v>11875.199999999999</v>
      </c>
      <c r="C12" s="43">
        <f>14712+28-1455.2</f>
        <v>13284.8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+9.1+0.9+311.8+37.9+285.6+511.7+3.4+6.7</f>
        <v>11445.6</v>
      </c>
      <c r="E12" s="1">
        <f>D12/D6*100</f>
        <v>3.0731954079281865</v>
      </c>
      <c r="F12" s="1">
        <f t="shared" si="3"/>
        <v>96.38237671786581</v>
      </c>
      <c r="G12" s="1">
        <f t="shared" si="0"/>
        <v>86.15560640732267</v>
      </c>
      <c r="H12" s="44">
        <f t="shared" si="2"/>
        <v>429.59999999999854</v>
      </c>
      <c r="I12" s="44">
        <f t="shared" si="1"/>
        <v>1839.199999999999</v>
      </c>
    </row>
    <row r="13" spans="1:9" ht="18.75" thickBot="1">
      <c r="A13" s="23" t="s">
        <v>29</v>
      </c>
      <c r="B13" s="43">
        <f>B6-B8-B9-B10-B11-B12</f>
        <v>17739.599999999962</v>
      </c>
      <c r="C13" s="43">
        <f>C6-C8-C9-C10-C11-C12</f>
        <v>19165.000000000047</v>
      </c>
      <c r="D13" s="43">
        <f>D6-D8-D9-D10-D11-D12</f>
        <v>13277.800000000154</v>
      </c>
      <c r="E13" s="1">
        <f>D13/D6*100</f>
        <v>3.5651494012886475</v>
      </c>
      <c r="F13" s="1">
        <f t="shared" si="3"/>
        <v>74.84836185708912</v>
      </c>
      <c r="G13" s="1">
        <f t="shared" si="0"/>
        <v>69.28150273936927</v>
      </c>
      <c r="H13" s="44">
        <f t="shared" si="2"/>
        <v>4461.799999999808</v>
      </c>
      <c r="I13" s="44">
        <f t="shared" si="1"/>
        <v>5887.199999999893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f>238549.9-102.3+771.4+0.1</f>
        <v>239219.1</v>
      </c>
      <c r="C18" s="46">
        <f>250434.1+666.5+2890.8+76.6+110+6034+513.1+12.9-102.3+425</f>
        <v>261060.7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+106+1041.7+311.7+34.6+6282.6+1181.1+3+2.6+1652.6+596.2+7+5652.5+4804.1+318+14.3+918.9+92.1</f>
        <v>224204.50000000003</v>
      </c>
      <c r="E18" s="3">
        <f>D18/D150*100</f>
        <v>16.36233361311243</v>
      </c>
      <c r="F18" s="3">
        <f>D18/B18*100</f>
        <v>93.72349448685327</v>
      </c>
      <c r="G18" s="3">
        <f t="shared" si="0"/>
        <v>85.88213392517527</v>
      </c>
      <c r="H18" s="47">
        <f>B18-D18</f>
        <v>15014.599999999977</v>
      </c>
      <c r="I18" s="47">
        <f t="shared" si="1"/>
        <v>36856.19999999998</v>
      </c>
    </row>
    <row r="19" spans="1:9" s="37" customFormat="1" ht="18.75">
      <c r="A19" s="104" t="s">
        <v>88</v>
      </c>
      <c r="B19" s="97">
        <v>173936.1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+106+1041.7+5.3+34.6+6282.6+763.5+1.2+1097.3+5625.2+503.1+138.8+14.3+918.9+92.1</f>
        <v>164965.29999999996</v>
      </c>
      <c r="E19" s="95">
        <f>D19/D18*100</f>
        <v>73.57805039595546</v>
      </c>
      <c r="F19" s="95">
        <f t="shared" si="3"/>
        <v>94.84247375904137</v>
      </c>
      <c r="G19" s="95">
        <f t="shared" si="0"/>
        <v>86.12914257371462</v>
      </c>
      <c r="H19" s="105">
        <f t="shared" si="2"/>
        <v>8970.800000000047</v>
      </c>
      <c r="I19" s="105">
        <f t="shared" si="1"/>
        <v>26567.20000000004</v>
      </c>
    </row>
    <row r="20" spans="1:9" ht="18">
      <c r="A20" s="23" t="s">
        <v>5</v>
      </c>
      <c r="B20" s="42">
        <f>174067.6+926.9+771.4</f>
        <v>175765.9</v>
      </c>
      <c r="C20" s="43">
        <f>186641.3+2944.5+1636.3</f>
        <v>191222.09999999998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5722.2+1+8655.9+32.9+2.4+5725.7+8251+357.7+0.1+5829.5+27.9+3957+4812.9+26.7+6036.7+16.8+6839+2416.2+22.3+6209+10229+319.3+6468+9728.3+1605.6+3790.5+3239.9+10406.4+0.1+6965.8+3+5278.9+3995.6+0.1+6242.7+6151.8+883.1+1990.1+6252.1+3.3+5936.1+3370.3+6282.6+5625.2+3940.4</f>
        <v>173651.1</v>
      </c>
      <c r="E20" s="1">
        <f>D20/D18*100</f>
        <v>77.45210287929099</v>
      </c>
      <c r="F20" s="1">
        <f t="shared" si="3"/>
        <v>98.79680870976681</v>
      </c>
      <c r="G20" s="1">
        <f t="shared" si="0"/>
        <v>90.81120853708856</v>
      </c>
      <c r="H20" s="44">
        <f t="shared" si="2"/>
        <v>2114.7999999999884</v>
      </c>
      <c r="I20" s="44">
        <f t="shared" si="1"/>
        <v>17570.99999999997</v>
      </c>
    </row>
    <row r="21" spans="1:9" ht="18">
      <c r="A21" s="23" t="s">
        <v>2</v>
      </c>
      <c r="B21" s="42">
        <f>21236.8+19.7-1029.2</f>
        <v>20227.3</v>
      </c>
      <c r="C21" s="43">
        <f>20454.1+500+110+1045.6+41+22.7-1738.6+1556.3</f>
        <v>21991.1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+305+0.3+507.1+593+42.6+7+27.3+448.8+265.6+26.9+81.3</f>
        <v>19801.19999999999</v>
      </c>
      <c r="E21" s="1">
        <f>D21/D18*100</f>
        <v>8.831758506185196</v>
      </c>
      <c r="F21" s="1">
        <f t="shared" si="3"/>
        <v>97.89344104255136</v>
      </c>
      <c r="G21" s="1">
        <f t="shared" si="0"/>
        <v>90.04188057896145</v>
      </c>
      <c r="H21" s="44">
        <f t="shared" si="2"/>
        <v>426.10000000000946</v>
      </c>
      <c r="I21" s="44">
        <f t="shared" si="1"/>
        <v>2189.9000000000087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+37.2+73.8+102.3+177.4+0.1+28.4</f>
        <v>4050.1000000000004</v>
      </c>
      <c r="E22" s="1">
        <f>D22/D18*100</f>
        <v>1.806431182246565</v>
      </c>
      <c r="F22" s="1">
        <f t="shared" si="3"/>
        <v>97.82850241545896</v>
      </c>
      <c r="G22" s="1">
        <f t="shared" si="0"/>
        <v>89.78872458820139</v>
      </c>
      <c r="H22" s="44">
        <f t="shared" si="2"/>
        <v>89.89999999999964</v>
      </c>
      <c r="I22" s="44">
        <f t="shared" si="1"/>
        <v>460.59999999999945</v>
      </c>
    </row>
    <row r="23" spans="1:9" ht="18">
      <c r="A23" s="23" t="s">
        <v>0</v>
      </c>
      <c r="B23" s="42">
        <f>24861.4-822.6</f>
        <v>24038.800000000003</v>
      </c>
      <c r="C23" s="43">
        <f>27804.4+1919-1532</f>
        <v>28191.4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+84.7+631.5+300.2+28.1+473.4+1.8+2.6+742.2+16.5+84.5-12.9+12.9+811.8+10.8</f>
        <v>19240.999999999993</v>
      </c>
      <c r="E23" s="1">
        <f>D23/D18*100</f>
        <v>8.58189733033904</v>
      </c>
      <c r="F23" s="1">
        <f t="shared" si="3"/>
        <v>80.04143301662309</v>
      </c>
      <c r="G23" s="1">
        <f t="shared" si="0"/>
        <v>68.25131068339986</v>
      </c>
      <c r="H23" s="44">
        <f t="shared" si="2"/>
        <v>4797.80000000001</v>
      </c>
      <c r="I23" s="44">
        <f t="shared" si="1"/>
        <v>8950.400000000009</v>
      </c>
    </row>
    <row r="24" spans="1:9" ht="18">
      <c r="A24" s="23" t="s">
        <v>14</v>
      </c>
      <c r="B24" s="42">
        <f>1506-56.9</f>
        <v>1449.1</v>
      </c>
      <c r="C24" s="43">
        <f>1591.6+29.5-66.9</f>
        <v>1554.1999999999998</v>
      </c>
      <c r="D24" s="44">
        <f>73.6+22.6+5.3+2.4+2.5+128.1+0.1+11.5+121.2+11.2-0.1+27.3+71.1+31.4-0.1+0.8+24.6+83.5+19.6+26.5+24.2+67.9+2.3+4+48.1+8.9+75.1+2+0.1+126.5+0.8+36.4+6.5+68.6+1.9+11.7+18.6+90+2.2+13.7+46.9+77.6-0.1</f>
        <v>1397</v>
      </c>
      <c r="E24" s="1">
        <f>D24/D18*100</f>
        <v>0.6230918647930794</v>
      </c>
      <c r="F24" s="1">
        <f t="shared" si="3"/>
        <v>96.40466496446071</v>
      </c>
      <c r="G24" s="1">
        <f t="shared" si="0"/>
        <v>89.88547162527347</v>
      </c>
      <c r="H24" s="44">
        <f t="shared" si="2"/>
        <v>52.09999999999991</v>
      </c>
      <c r="I24" s="44">
        <f t="shared" si="1"/>
        <v>157.19999999999982</v>
      </c>
    </row>
    <row r="25" spans="1:9" ht="18.75" thickBot="1">
      <c r="A25" s="23" t="s">
        <v>29</v>
      </c>
      <c r="B25" s="43">
        <f>B18-B20-B21-B22-B23-B24</f>
        <v>13598.000000000005</v>
      </c>
      <c r="C25" s="43">
        <f>C18-C20-C21-C22-C23-C24</f>
        <v>13591.200000000037</v>
      </c>
      <c r="D25" s="43">
        <f>D18-D20-D21-D22-D23-D24</f>
        <v>6064.100000000042</v>
      </c>
      <c r="E25" s="1">
        <f>D25/D18*100</f>
        <v>2.7047182371451246</v>
      </c>
      <c r="F25" s="1">
        <f t="shared" si="3"/>
        <v>44.59552875422886</v>
      </c>
      <c r="G25" s="1">
        <f t="shared" si="0"/>
        <v>44.61784095591283</v>
      </c>
      <c r="H25" s="44">
        <f t="shared" si="2"/>
        <v>7533.899999999963</v>
      </c>
      <c r="I25" s="44">
        <f t="shared" si="1"/>
        <v>7527.099999999995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45284.5+623.2</f>
        <v>45907.7</v>
      </c>
      <c r="C33" s="46">
        <f>50266.1+19.2-3069.6+1137.5+1480.3+40-40+150+753.5</f>
        <v>50737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+13.6+170+1.2+164.4+3.2+0.4+378.1+1161.2+116.7+0.6+51.3+106.3+2.9+90.8+1490.5+21.8-0.1+56.8+297.7+2.3</f>
        <v>42923.8</v>
      </c>
      <c r="E33" s="3">
        <f>D33/D150*100</f>
        <v>3.132557712010755</v>
      </c>
      <c r="F33" s="3">
        <f>D33/B33*100</f>
        <v>93.50021891752365</v>
      </c>
      <c r="G33" s="3">
        <f t="shared" si="0"/>
        <v>84.60058734257052</v>
      </c>
      <c r="H33" s="47">
        <f t="shared" si="2"/>
        <v>2983.899999999994</v>
      </c>
      <c r="I33" s="47">
        <f t="shared" si="1"/>
        <v>7813.199999999997</v>
      </c>
    </row>
    <row r="34" spans="1:9" ht="18">
      <c r="A34" s="23" t="s">
        <v>3</v>
      </c>
      <c r="B34" s="42">
        <f>32914+0.2</f>
        <v>32914.2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1335+1268.2+1354.9+1304.2+1357+1359.6+1365.6+1342.2+1381.4+3.9+1624.5+11.9+0.1+10+3950.5+2820.4+0.1+74+93.6+20+430.6+329.1+0.1+119.6+19.5+358.3+39+1137.3+0.1+58.6+10+1391+48.8+259.9+1234.6+4.8+1421.2+1707.9+0.3+279.3+1161.2+1481.7+0.1</f>
        <v>32170.099999999988</v>
      </c>
      <c r="E34" s="1">
        <f>D34/D33*100</f>
        <v>74.94699910073196</v>
      </c>
      <c r="F34" s="1">
        <f t="shared" si="3"/>
        <v>97.7392736265806</v>
      </c>
      <c r="G34" s="1">
        <f t="shared" si="0"/>
        <v>88.50266717653432</v>
      </c>
      <c r="H34" s="44">
        <f t="shared" si="2"/>
        <v>744.1000000000095</v>
      </c>
      <c r="I34" s="44">
        <f t="shared" si="1"/>
        <v>4179.200000000008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+13.6+22.8+18.5+3.2+0.4+59.1+7.3+21.4+6-1.4+98.1+0.3</f>
        <v>1574.799999999999</v>
      </c>
      <c r="E36" s="1">
        <f>D36/D33*100</f>
        <v>3.668827084274922</v>
      </c>
      <c r="F36" s="1">
        <f t="shared" si="3"/>
        <v>56.86019641825531</v>
      </c>
      <c r="G36" s="1">
        <f t="shared" si="0"/>
        <v>46.53114289091121</v>
      </c>
      <c r="H36" s="44">
        <f t="shared" si="2"/>
        <v>1194.8000000000009</v>
      </c>
      <c r="I36" s="44">
        <f t="shared" si="1"/>
        <v>1809.600000000001</v>
      </c>
    </row>
    <row r="37" spans="1:9" s="37" customFormat="1" ht="18.75">
      <c r="A37" s="18" t="s">
        <v>7</v>
      </c>
      <c r="B37" s="51">
        <f>915.3+50</f>
        <v>965.3</v>
      </c>
      <c r="C37" s="52">
        <f>929.3+40-40+180.3</f>
        <v>1109.6</v>
      </c>
      <c r="D37" s="53">
        <f>11.2+19.5+15.2+5+5.7-0.1+1.9+5.1+7+0.3+7.7+25.8+82+15.4+14.3+13.2+14.4+42.6+0.1+37.6+3+2.6+0.8+1.6+3.9+98.6+0.5+15.5+1.7+3.3+166.5+5.9+37.9+118.4+6.4+2.7+15.3+30.5+7.5+1.2+1.8+21.8+0.1+8+2</f>
        <v>881.4</v>
      </c>
      <c r="E37" s="17">
        <f>D37/D33*100</f>
        <v>2.0534062687832857</v>
      </c>
      <c r="F37" s="17">
        <f t="shared" si="3"/>
        <v>91.30840153320212</v>
      </c>
      <c r="G37" s="17">
        <f t="shared" si="0"/>
        <v>79.43403028118242</v>
      </c>
      <c r="H37" s="53">
        <f t="shared" si="2"/>
        <v>83.89999999999998</v>
      </c>
      <c r="I37" s="53">
        <f t="shared" si="1"/>
        <v>228.19999999999993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5.1+5.1+5.1+5.1+5.1+4.8+24.8</f>
        <v>55.1</v>
      </c>
      <c r="E38" s="1">
        <f>D38/D33*100</f>
        <v>0.12836701317217952</v>
      </c>
      <c r="F38" s="1">
        <f t="shared" si="3"/>
        <v>98.92280071813285</v>
      </c>
      <c r="G38" s="1">
        <f t="shared" si="0"/>
        <v>90.62500000000001</v>
      </c>
      <c r="H38" s="44">
        <f t="shared" si="2"/>
        <v>0.6000000000000014</v>
      </c>
      <c r="I38" s="44">
        <f t="shared" si="1"/>
        <v>5.699999999999996</v>
      </c>
    </row>
    <row r="39" spans="1:9" ht="18.75" thickBot="1">
      <c r="A39" s="23" t="s">
        <v>29</v>
      </c>
      <c r="B39" s="42">
        <f>B33-B34-B36-B37-B35-B38</f>
        <v>9202.9</v>
      </c>
      <c r="C39" s="42">
        <f>C33-C34-C36-C37-C35-C38</f>
        <v>9832.900000000005</v>
      </c>
      <c r="D39" s="42">
        <f>D33-D34-D36-D37-D35-D38</f>
        <v>8242.400000000016</v>
      </c>
      <c r="E39" s="1">
        <f>D39/D33*100</f>
        <v>19.20240053303765</v>
      </c>
      <c r="F39" s="1">
        <f t="shared" si="3"/>
        <v>89.56307250975254</v>
      </c>
      <c r="G39" s="1">
        <f t="shared" si="0"/>
        <v>83.82471091946437</v>
      </c>
      <c r="H39" s="44">
        <f>B39-D39</f>
        <v>960.4999999999836</v>
      </c>
      <c r="I39" s="44">
        <f t="shared" si="1"/>
        <v>1590.499999999989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829.5+61+9+3+3+433+103+40</f>
        <v>1481.5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+25+3.3+5.6+50.7+4.5+14.7+4.9+17.2+42.3+3.3+17.7+18.2</f>
        <v>1137.7000000000003</v>
      </c>
      <c r="E43" s="3">
        <f>D43/D150*100</f>
        <v>0.08302878377391185</v>
      </c>
      <c r="F43" s="3">
        <f>D43/B43*100</f>
        <v>86.3726085636198</v>
      </c>
      <c r="G43" s="3">
        <f t="shared" si="0"/>
        <v>76.79379007762405</v>
      </c>
      <c r="H43" s="47">
        <f t="shared" si="2"/>
        <v>179.49999999999977</v>
      </c>
      <c r="I43" s="47">
        <f t="shared" si="1"/>
        <v>343.7999999999997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+42.7+215+1.4+13.2+3.2+341.3-0.1+66.2</f>
        <v>6849.899999999998</v>
      </c>
      <c r="E45" s="3">
        <f>D45/D150*100</f>
        <v>0.49990231693145676</v>
      </c>
      <c r="F45" s="3">
        <f>D45/B45*100</f>
        <v>97.48665765317011</v>
      </c>
      <c r="G45" s="3">
        <f aca="true" t="shared" si="4" ref="G45:G76">D45/C45*100</f>
        <v>87.96697016784596</v>
      </c>
      <c r="H45" s="47">
        <f>B45-D45</f>
        <v>176.60000000000218</v>
      </c>
      <c r="I45" s="47">
        <f aca="true" t="shared" si="5" ref="I45:I77">C45-D45</f>
        <v>937.0000000000027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224.1+258.6+235.3+288.8+241.4+328.6+224.6+306.6+239.4+298.3+269.8+13.5+346.9+45.8+263.2+291.7-0.1+38.6+180.3+343.4+215.2+305.6+213.9+383.3+0.1+215+341.3</f>
        <v>6113.200000000001</v>
      </c>
      <c r="E46" s="1">
        <f>D46/D45*100</f>
        <v>89.24509846859083</v>
      </c>
      <c r="F46" s="1">
        <f aca="true" t="shared" si="6" ref="F46:F74">D46/B46*100</f>
        <v>98.96232982047174</v>
      </c>
      <c r="G46" s="1">
        <f t="shared" si="4"/>
        <v>90.51764984600807</v>
      </c>
      <c r="H46" s="44">
        <f aca="true" t="shared" si="7" ref="H46:H74">B46-D46</f>
        <v>64.09999999999945</v>
      </c>
      <c r="I46" s="44">
        <f t="shared" si="5"/>
        <v>640.3999999999996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0.3+0.4+0.1+0.3+0.2</f>
        <v>1.2999999999999998</v>
      </c>
      <c r="E47" s="1">
        <f>D47/D45*100</f>
        <v>0.01897837924641236</v>
      </c>
      <c r="F47" s="1">
        <f t="shared" si="6"/>
        <v>99.99999999999997</v>
      </c>
      <c r="G47" s="1">
        <f t="shared" si="4"/>
        <v>99.99999999999997</v>
      </c>
      <c r="H47" s="44">
        <f t="shared" si="7"/>
        <v>0</v>
      </c>
      <c r="I47" s="44">
        <f t="shared" si="5"/>
        <v>0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0.2+2.1+0.1+6.5+6.7-0.1+7+4.6+1.6+2+4.6+6.4-0.1+6.3</f>
        <v>47.9</v>
      </c>
      <c r="E48" s="1">
        <f>D48/D45*100</f>
        <v>0.6992802814639631</v>
      </c>
      <c r="F48" s="1">
        <f t="shared" si="6"/>
        <v>84.9290780141844</v>
      </c>
      <c r="G48" s="1">
        <f t="shared" si="4"/>
        <v>67.75106082036774</v>
      </c>
      <c r="H48" s="44">
        <f t="shared" si="7"/>
        <v>8.5</v>
      </c>
      <c r="I48" s="44">
        <f t="shared" si="5"/>
        <v>22.800000000000004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2.2+2.5+0.8+112.4+2.2+0.1+69.1+4.4-0.1+35.2+27.4+4.8+1+22.3+2.5+1.6+0.6+4.2-0.1+0.5+5.1+0.3+0.5+1.6+0.3+1.5+1.7+0.6+5.1+18.9+9.9+66.2</f>
        <v>405.30000000000007</v>
      </c>
      <c r="E49" s="1">
        <f>D49/D45*100</f>
        <v>5.916874698900717</v>
      </c>
      <c r="F49" s="1">
        <f t="shared" si="6"/>
        <v>86.21569878749203</v>
      </c>
      <c r="G49" s="1">
        <f t="shared" si="4"/>
        <v>66.55172413793105</v>
      </c>
      <c r="H49" s="44">
        <f t="shared" si="7"/>
        <v>64.79999999999995</v>
      </c>
      <c r="I49" s="44">
        <f t="shared" si="5"/>
        <v>203.69999999999993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282.19999999999703</v>
      </c>
      <c r="E50" s="1">
        <f>D50/D45*100</f>
        <v>4.1197681717980865</v>
      </c>
      <c r="F50" s="1">
        <f t="shared" si="6"/>
        <v>87.80336029869234</v>
      </c>
      <c r="G50" s="1">
        <f t="shared" si="4"/>
        <v>80.10218563724011</v>
      </c>
      <c r="H50" s="44">
        <f t="shared" si="7"/>
        <v>39.200000000002774</v>
      </c>
      <c r="I50" s="44">
        <f t="shared" si="5"/>
        <v>70.10000000000315</v>
      </c>
    </row>
    <row r="51" spans="1:9" ht="18.75" thickBot="1">
      <c r="A51" s="22" t="s">
        <v>4</v>
      </c>
      <c r="B51" s="45">
        <f>15003.4+380+298</f>
        <v>15681.4</v>
      </c>
      <c r="C51" s="46">
        <f>16075.7+36.8+200+828.6-580+380+298</f>
        <v>17239.1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+36.8+55.2+63.1+432.8+43.7+24.8+3.1+35.9+40.3+23.9+21.4+763.7+34.3+0.1+94.7+3.2</f>
        <v>13713.09999999999</v>
      </c>
      <c r="E51" s="3">
        <f>D51/D150*100</f>
        <v>1.0007752612903482</v>
      </c>
      <c r="F51" s="3">
        <f>D51/B51*100</f>
        <v>87.44818702411767</v>
      </c>
      <c r="G51" s="3">
        <f t="shared" si="4"/>
        <v>79.54649604677732</v>
      </c>
      <c r="H51" s="47">
        <f>B51-D51</f>
        <v>1968.3000000000102</v>
      </c>
      <c r="I51" s="47">
        <f t="shared" si="5"/>
        <v>3526.000000000009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8+294.9+437.7+298.5+423.7+297.9+451.2+294.5+446+301+554.2+412+820.4+487.4+393.4+0.1+169.4+354.3-0.1+300.5+8.5+507.2+314.4+656.2+356+3.3+1.1+497.6+0.1</f>
        <v>9089.399999999998</v>
      </c>
      <c r="E52" s="1">
        <f>D52/D51*100</f>
        <v>66.28260568361644</v>
      </c>
      <c r="F52" s="1">
        <f t="shared" si="6"/>
        <v>97.56972026020308</v>
      </c>
      <c r="G52" s="1">
        <f t="shared" si="4"/>
        <v>88.00139417351649</v>
      </c>
      <c r="H52" s="44">
        <f t="shared" si="7"/>
        <v>226.40000000000146</v>
      </c>
      <c r="I52" s="44">
        <f t="shared" si="5"/>
        <v>1239.300000000003</v>
      </c>
    </row>
    <row r="53" spans="1:9" ht="18">
      <c r="A53" s="23" t="s">
        <v>2</v>
      </c>
      <c r="B53" s="42">
        <v>9</v>
      </c>
      <c r="C53" s="43">
        <v>12</v>
      </c>
      <c r="D53" s="44">
        <f>1.4+1.5</f>
        <v>2.9</v>
      </c>
      <c r="E53" s="1">
        <f>D53/D51*100</f>
        <v>0.021147661724919983</v>
      </c>
      <c r="F53" s="1">
        <f>D53/B53*100</f>
        <v>32.22222222222222</v>
      </c>
      <c r="G53" s="1">
        <f t="shared" si="4"/>
        <v>24.166666666666668</v>
      </c>
      <c r="H53" s="44">
        <f t="shared" si="7"/>
        <v>6.1</v>
      </c>
      <c r="I53" s="44">
        <f t="shared" si="5"/>
        <v>9.1</v>
      </c>
    </row>
    <row r="54" spans="1:9" ht="18">
      <c r="A54" s="23" t="s">
        <v>1</v>
      </c>
      <c r="B54" s="42">
        <v>270.4</v>
      </c>
      <c r="C54" s="43">
        <v>287</v>
      </c>
      <c r="D54" s="44">
        <f>1.3+0.7+2.1+1+1.3+7.6+7.5+6.3+0.4+13+20.7+0.5+5.3+9.4+10+8.9+5.1+7.2+1-0.1+17.9+7.1+3.8+1.6+1.9+6.6+0.6+5.8+1.3+5.3+15.2+5.8+4.4+8.4+0.3+15+7.8+1.8+1.7+2.6+1.3+2.8+0.1+10.4</f>
        <v>238.7000000000001</v>
      </c>
      <c r="E54" s="1">
        <f>D54/D51*100</f>
        <v>1.7406713288753113</v>
      </c>
      <c r="F54" s="1">
        <f t="shared" si="6"/>
        <v>88.27662721893496</v>
      </c>
      <c r="G54" s="1">
        <f t="shared" si="4"/>
        <v>83.17073170731712</v>
      </c>
      <c r="H54" s="44">
        <f t="shared" si="7"/>
        <v>31.699999999999875</v>
      </c>
      <c r="I54" s="44">
        <f t="shared" si="5"/>
        <v>48.2999999999999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10.7+0.6+7.6+85.1+28.4+14.4+0.1+8.5+0.1+7+0.1+7.7+62.8+6+1.3+0.9+0.9+1+0.7+0.1+4.7+15.2+34.9+9+4+15.8+5.5+7+1.9+1.5+0.1+2.4+1.8+3.7+1.3+4.5+2.3+0.7+0.1+1.8+6.8+1.6+0.7+0.5+1.1+12.5+0.8+0.8+0.7+9.2+0.6+1-1+0.4+0.9+0.3+11.5+1.7+0.6+0.8+0.5+4.3+12.2+0.4+18.8+1.4+1.7+0.1-0.2+3.2+1.1</f>
        <v>457.20000000000005</v>
      </c>
      <c r="E55" s="1">
        <f>D55/D51*100</f>
        <v>3.334038255390834</v>
      </c>
      <c r="F55" s="1">
        <f t="shared" si="6"/>
        <v>57.67629620285102</v>
      </c>
      <c r="G55" s="1">
        <f t="shared" si="4"/>
        <v>48.99796377665845</v>
      </c>
      <c r="H55" s="44">
        <f t="shared" si="7"/>
        <v>335.5</v>
      </c>
      <c r="I55" s="44">
        <f t="shared" si="5"/>
        <v>475.9</v>
      </c>
    </row>
    <row r="56" spans="1:9" ht="18">
      <c r="A56" s="23" t="s">
        <v>14</v>
      </c>
      <c r="B56" s="42">
        <f>200+80</f>
        <v>280</v>
      </c>
      <c r="C56" s="43">
        <f>200+80</f>
        <v>280</v>
      </c>
      <c r="D56" s="43">
        <f>40+40+40+40+40+40</f>
        <v>240</v>
      </c>
      <c r="E56" s="1">
        <f>D56/D51*100</f>
        <v>1.750151315165792</v>
      </c>
      <c r="F56" s="1">
        <f>D56/B56*100</f>
        <v>85.71428571428571</v>
      </c>
      <c r="G56" s="1">
        <f>D56/C56*100</f>
        <v>85.71428571428571</v>
      </c>
      <c r="H56" s="44">
        <f t="shared" si="7"/>
        <v>40</v>
      </c>
      <c r="I56" s="44">
        <f t="shared" si="5"/>
        <v>40</v>
      </c>
    </row>
    <row r="57" spans="1:9" ht="18.75" thickBot="1">
      <c r="A57" s="23" t="s">
        <v>29</v>
      </c>
      <c r="B57" s="43">
        <f>B51-B52-B55-B54-B53-B56</f>
        <v>5013.500000000001</v>
      </c>
      <c r="C57" s="43">
        <f>C51-C52-C55-C54-C53-C56</f>
        <v>5398.299999999997</v>
      </c>
      <c r="D57" s="43">
        <f>D51-D52-D55-D54-D53-D56</f>
        <v>3684.8999999999915</v>
      </c>
      <c r="E57" s="1">
        <f>D57/D51*100</f>
        <v>26.87138575522671</v>
      </c>
      <c r="F57" s="1">
        <f t="shared" si="6"/>
        <v>73.49955121172815</v>
      </c>
      <c r="G57" s="1">
        <f t="shared" si="4"/>
        <v>68.26037826723214</v>
      </c>
      <c r="H57" s="44">
        <f>B57-D57</f>
        <v>1328.6000000000095</v>
      </c>
      <c r="I57" s="44">
        <f>C57-D57</f>
        <v>1713.400000000006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5841.1-80-327.3</f>
        <v>5433.8</v>
      </c>
      <c r="C59" s="46">
        <f>5881.8+134.4+115.2-20-80-327.3</f>
        <v>5704.099999999999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+0.4+41.6+43.2+0.5+20.2+4.7+5.7+0.1+95.1+0.1+221.9</f>
        <v>4985.199999999998</v>
      </c>
      <c r="E59" s="3">
        <f>D59/D150*100</f>
        <v>0.36381743242480885</v>
      </c>
      <c r="F59" s="3">
        <f>D59/B59*100</f>
        <v>91.7442673635393</v>
      </c>
      <c r="G59" s="3">
        <f t="shared" si="4"/>
        <v>87.39678476885044</v>
      </c>
      <c r="H59" s="47">
        <f>B59-D59</f>
        <v>448.6000000000022</v>
      </c>
      <c r="I59" s="47">
        <f t="shared" si="5"/>
        <v>718.9000000000015</v>
      </c>
    </row>
    <row r="60" spans="1:9" ht="18">
      <c r="A60" s="23" t="s">
        <v>3</v>
      </c>
      <c r="B60" s="42">
        <v>1510.3</v>
      </c>
      <c r="C60" s="43">
        <f>1508.2+134.4</f>
        <v>1642.6000000000001</v>
      </c>
      <c r="D60" s="44">
        <f>43.5+72.8+47.2+62.5+0.1+35.3+86.8+44.1+125.7+41.4+92.3+60.6+92.7+66.3+68.7-0.1+2+54.7+84.1+36.1+101.8+41.9+86.5+41.3+95.1</f>
        <v>1483.3999999999999</v>
      </c>
      <c r="E60" s="1">
        <f>D60/D59*100</f>
        <v>29.756077990852937</v>
      </c>
      <c r="F60" s="1">
        <f t="shared" si="6"/>
        <v>98.2188969078991</v>
      </c>
      <c r="G60" s="1">
        <f t="shared" si="4"/>
        <v>90.30804821624253</v>
      </c>
      <c r="H60" s="44">
        <f t="shared" si="7"/>
        <v>26.90000000000009</v>
      </c>
      <c r="I60" s="44">
        <f t="shared" si="5"/>
        <v>159.20000000000027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6.252507421969032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v>627.5</v>
      </c>
      <c r="D62" s="44">
        <f>4.7+45.7+4.9+40.9+19.8+3.9+46.3+9+12.6+0.9+3+0.3+2.8+0.3+0.1+2.2+0.3+2.2+0.3+3.3+0.5+5.5+0.2-1+0.5+20.2+3.9+5.7</f>
        <v>239</v>
      </c>
      <c r="E62" s="1">
        <f>D62/D59*100</f>
        <v>4.794190804782157</v>
      </c>
      <c r="F62" s="1">
        <f t="shared" si="6"/>
        <v>44.88262910798122</v>
      </c>
      <c r="G62" s="1">
        <f t="shared" si="4"/>
        <v>38.08764940239044</v>
      </c>
      <c r="H62" s="44">
        <f t="shared" si="7"/>
        <v>293.5</v>
      </c>
      <c r="I62" s="44">
        <f t="shared" si="5"/>
        <v>388.5</v>
      </c>
    </row>
    <row r="63" spans="1:9" ht="18">
      <c r="A63" s="23" t="s">
        <v>14</v>
      </c>
      <c r="B63" s="42">
        <f>3331.4-180-517.3</f>
        <v>2634.1000000000004</v>
      </c>
      <c r="C63" s="43">
        <f>3216.2+115.2-180-517.3</f>
        <v>2634.0999999999995</v>
      </c>
      <c r="D63" s="44">
        <f>252+735+554.4+1033.2+43.2</f>
        <v>2617.8</v>
      </c>
      <c r="E63" s="1">
        <f>D63/D59*100</f>
        <v>52.51143384417879</v>
      </c>
      <c r="F63" s="1">
        <f t="shared" si="6"/>
        <v>99.38119281728103</v>
      </c>
      <c r="G63" s="1">
        <f t="shared" si="4"/>
        <v>99.38119281728108</v>
      </c>
      <c r="H63" s="44">
        <f t="shared" si="7"/>
        <v>16.300000000000182</v>
      </c>
      <c r="I63" s="44">
        <f t="shared" si="5"/>
        <v>16.299999999999272</v>
      </c>
    </row>
    <row r="64" spans="1:9" ht="18.75" thickBot="1">
      <c r="A64" s="23" t="s">
        <v>29</v>
      </c>
      <c r="B64" s="43">
        <f>B59-B60-B62-B63-B61</f>
        <v>445.0999999999996</v>
      </c>
      <c r="C64" s="43">
        <f>C59-C60-C62-C63-C61</f>
        <v>488.0999999999996</v>
      </c>
      <c r="D64" s="43">
        <f>D59-D60-D62-D63-D61</f>
        <v>333.29999999999814</v>
      </c>
      <c r="E64" s="1">
        <f>D64/D59*100</f>
        <v>6.685789938217088</v>
      </c>
      <c r="F64" s="1">
        <f t="shared" si="6"/>
        <v>74.88204897775745</v>
      </c>
      <c r="G64" s="1">
        <f t="shared" si="4"/>
        <v>68.28518746158541</v>
      </c>
      <c r="H64" s="44">
        <f t="shared" si="7"/>
        <v>111.80000000000149</v>
      </c>
      <c r="I64" s="44">
        <f t="shared" si="5"/>
        <v>154.8000000000015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251.5</v>
      </c>
      <c r="C69" s="46">
        <f>C70+C71</f>
        <v>287.3</v>
      </c>
      <c r="D69" s="47">
        <f>SUM(D70:D71)</f>
        <v>179.5</v>
      </c>
      <c r="E69" s="35">
        <f>D69/D150*100</f>
        <v>0.013099821295084092</v>
      </c>
      <c r="F69" s="3">
        <f>D69/B69*100</f>
        <v>71.37176938369781</v>
      </c>
      <c r="G69" s="3">
        <f t="shared" si="4"/>
        <v>62.47824573616428</v>
      </c>
      <c r="H69" s="47">
        <f>B69-D69</f>
        <v>72</v>
      </c>
      <c r="I69" s="47">
        <f t="shared" si="5"/>
        <v>107.80000000000001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f>99.3-18.7</f>
        <v>80.6</v>
      </c>
      <c r="C71" s="43">
        <f>149.8-9-18.3-0.4-5.8</f>
        <v>116.30000000000001</v>
      </c>
      <c r="D71" s="44">
        <f>9.6</f>
        <v>9.6</v>
      </c>
      <c r="E71" s="1">
        <f>D71/D70*100</f>
        <v>5.650382577987051</v>
      </c>
      <c r="F71" s="1">
        <f t="shared" si="6"/>
        <v>11.910669975186105</v>
      </c>
      <c r="G71" s="1">
        <f t="shared" si="4"/>
        <v>8.254514187446258</v>
      </c>
      <c r="H71" s="44">
        <f t="shared" si="7"/>
        <v>71</v>
      </c>
      <c r="I71" s="44">
        <f t="shared" si="5"/>
        <v>106.70000000000002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55447.2+28.8+1684.5</f>
        <v>57160.5</v>
      </c>
      <c r="C90" s="46">
        <f>50201.5+5861+2853.8+11.8-0.1+368.5+374.4+150.3+28.8+3184+50+90.5</f>
        <v>63174.500000000015</v>
      </c>
      <c r="D90" s="47">
        <f>44075.1+103.3+46.5+25+15.6+5.7+164.2+1847.8+521.6+2.8+15.8+61.2+46.7+110.4+15+130.8+28.4+129.4+817.1+784.9+173.2+280.6+8.2+18.5+36.5+8.8+35.3+16+2745.3+1166.5+18.3+110.5+188.1+402.8</f>
        <v>54155.90000000001</v>
      </c>
      <c r="E90" s="3">
        <f>D90/D150*100</f>
        <v>3.952270819356238</v>
      </c>
      <c r="F90" s="3">
        <f aca="true" t="shared" si="10" ref="F90:F96">D90/B90*100</f>
        <v>94.74357292186039</v>
      </c>
      <c r="G90" s="3">
        <f t="shared" si="8"/>
        <v>85.72430331858581</v>
      </c>
      <c r="H90" s="47">
        <f aca="true" t="shared" si="11" ref="H90:H96">B90-D90</f>
        <v>3004.5999999999913</v>
      </c>
      <c r="I90" s="47">
        <f t="shared" si="9"/>
        <v>9018.600000000006</v>
      </c>
    </row>
    <row r="91" spans="1:9" ht="18">
      <c r="A91" s="23" t="s">
        <v>3</v>
      </c>
      <c r="B91" s="42">
        <f>45976.7+1674</f>
        <v>47650.7</v>
      </c>
      <c r="C91" s="43">
        <f>41785.6+5825.3+1852.2+217.6+3277</f>
        <v>52957.7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+13.3+32.3+21+129.4+807.6+765.2+6.5+247.2+1.5+24.5+2619.8+1153.5+16.6</f>
        <v>45978.79999999999</v>
      </c>
      <c r="E91" s="1">
        <f>D91/D90*100</f>
        <v>84.90081413105493</v>
      </c>
      <c r="F91" s="1">
        <f t="shared" si="10"/>
        <v>96.49134220483643</v>
      </c>
      <c r="G91" s="1">
        <f t="shared" si="8"/>
        <v>86.82174641270295</v>
      </c>
      <c r="H91" s="44">
        <f t="shared" si="11"/>
        <v>1671.9000000000087</v>
      </c>
      <c r="I91" s="44">
        <f t="shared" si="9"/>
        <v>6978.900000000009</v>
      </c>
    </row>
    <row r="92" spans="1:9" ht="18">
      <c r="A92" s="23" t="s">
        <v>27</v>
      </c>
      <c r="B92" s="42">
        <v>1830</v>
      </c>
      <c r="C92" s="43">
        <f>2476+1-355.6-100</f>
        <v>2021.4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+1.8+117.3+0.9+61.8+5.7+24.2+203.9</f>
        <v>1694.2</v>
      </c>
      <c r="E92" s="1">
        <f>D92/D90*100</f>
        <v>3.128375670979523</v>
      </c>
      <c r="F92" s="1">
        <f t="shared" si="10"/>
        <v>92.5792349726776</v>
      </c>
      <c r="G92" s="1">
        <f t="shared" si="8"/>
        <v>83.81319877312752</v>
      </c>
      <c r="H92" s="44">
        <f t="shared" si="11"/>
        <v>135.79999999999995</v>
      </c>
      <c r="I92" s="44">
        <f t="shared" si="9"/>
        <v>327.20000000000005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7679.800000000003</v>
      </c>
      <c r="C94" s="43">
        <f>C90-C91-C92-C93</f>
        <v>8195.400000000018</v>
      </c>
      <c r="D94" s="43">
        <f>D90-D91-D92-D93</f>
        <v>6482.900000000021</v>
      </c>
      <c r="E94" s="1">
        <f>D94/D90*100</f>
        <v>11.97081019796554</v>
      </c>
      <c r="F94" s="1">
        <f t="shared" si="10"/>
        <v>84.41495872288365</v>
      </c>
      <c r="G94" s="1">
        <f>D94/C94*100</f>
        <v>79.10413158601173</v>
      </c>
      <c r="H94" s="44">
        <f t="shared" si="11"/>
        <v>1196.8999999999824</v>
      </c>
      <c r="I94" s="44">
        <f>C94-D94</f>
        <v>1712.4999999999973</v>
      </c>
    </row>
    <row r="95" spans="1:9" ht="18.75">
      <c r="A95" s="108" t="s">
        <v>12</v>
      </c>
      <c r="B95" s="111">
        <f>73728.7+111.6-295.8</f>
        <v>73544.5</v>
      </c>
      <c r="C95" s="113">
        <f>63500.4+11490.6+4535.2-1.1-1111.2+1589.3-1380+1170.8+341.6-41.2-0.1+1000</f>
        <v>81094.3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+10.4+368.4+25+414.5+449.3+643.2+125+30.7+32.1+466.1+198.7+96.7+0.1+73.5+156.3+101.7+133.9+2+0.1+854+1070.6+5.6+1655.8</f>
        <v>74406.50000000001</v>
      </c>
      <c r="E95" s="107">
        <f>D95/D150*100</f>
        <v>5.43014959995919</v>
      </c>
      <c r="F95" s="110">
        <f t="shared" si="10"/>
        <v>101.17207948928882</v>
      </c>
      <c r="G95" s="106">
        <f>D95/C95*100</f>
        <v>91.75305785980026</v>
      </c>
      <c r="H95" s="112">
        <f t="shared" si="11"/>
        <v>-862.0000000000146</v>
      </c>
      <c r="I95" s="122">
        <f>C95-D95</f>
        <v>6687.799999999988</v>
      </c>
    </row>
    <row r="96" spans="1:9" ht="18.75" thickBot="1">
      <c r="A96" s="109" t="s">
        <v>89</v>
      </c>
      <c r="B96" s="114">
        <v>7264.1</v>
      </c>
      <c r="C96" s="115">
        <f>5343.5+287.2+2416.8+30+300-99.3</f>
        <v>8278.2</v>
      </c>
      <c r="D96" s="116">
        <f>4529.8+517.7+29.4+13.1+5+72.5+64.2-0.1+1.6+4.9+643.2+21+0.1+73.5+722.1+1.6</f>
        <v>6699.6</v>
      </c>
      <c r="E96" s="117">
        <f>D96/D95*100</f>
        <v>9.004052065343753</v>
      </c>
      <c r="F96" s="118">
        <f t="shared" si="10"/>
        <v>92.22890654038352</v>
      </c>
      <c r="G96" s="119">
        <f>D96/C96*100</f>
        <v>80.93063709502066</v>
      </c>
      <c r="H96" s="123">
        <f t="shared" si="11"/>
        <v>564.5</v>
      </c>
      <c r="I96" s="124">
        <f>C96-D96</f>
        <v>1578.6000000000004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9549.5-1274.7</f>
        <v>8274.8</v>
      </c>
      <c r="C102" s="92">
        <f>10703.3-154-3.5-134.3+83.4+37+0.1+6-1288.7+5.8</f>
        <v>9255.099999999999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+21.8+20.2+27.6+153.5+5+17.2+40.4+20.9+2+225+32.7+23.2+2.9+42.3+13.2+2</f>
        <v>7018.399999999999</v>
      </c>
      <c r="E102" s="19">
        <f>D102/D150*100</f>
        <v>0.5121993636624969</v>
      </c>
      <c r="F102" s="19">
        <f>D102/B102*100</f>
        <v>84.81655145743703</v>
      </c>
      <c r="G102" s="19">
        <f aca="true" t="shared" si="12" ref="G102:G148">D102/C102*100</f>
        <v>75.83278408661171</v>
      </c>
      <c r="H102" s="79">
        <f aca="true" t="shared" si="13" ref="H102:H107">B102-D102</f>
        <v>1256.4000000000005</v>
      </c>
      <c r="I102" s="79">
        <f aca="true" t="shared" si="14" ref="I102:I148">C102-D102</f>
        <v>2236.7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15.1+18.9-0.1+18.6+22.1+18.4+16.3+23.1</f>
        <v>132.4</v>
      </c>
      <c r="E103" s="83">
        <f>D103/D102*100</f>
        <v>1.8864698506782178</v>
      </c>
      <c r="F103" s="1">
        <f>D103/B103*100</f>
        <v>85.03532434168272</v>
      </c>
      <c r="G103" s="83">
        <f>D103/C103*100</f>
        <v>70.57569296375267</v>
      </c>
      <c r="H103" s="87">
        <f t="shared" si="13"/>
        <v>23.299999999999983</v>
      </c>
      <c r="I103" s="87">
        <f t="shared" si="14"/>
        <v>55.19999999999999</v>
      </c>
    </row>
    <row r="104" spans="1:9" ht="18">
      <c r="A104" s="85" t="s">
        <v>52</v>
      </c>
      <c r="B104" s="74">
        <f>7770.6-1552.9+517.3</f>
        <v>6735.000000000001</v>
      </c>
      <c r="C104" s="44">
        <f>8863.3-154-3.5-134.3+25.3+6+39.1-1049+11.4+5.8</f>
        <v>7610.099999999999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+15+1.8+133.5+5+17+40+2+213.5+26.8+0.2-26.7+28.1+2</f>
        <v>5802.9000000000015</v>
      </c>
      <c r="E104" s="1">
        <f>D104/D102*100</f>
        <v>82.68123788897758</v>
      </c>
      <c r="F104" s="1">
        <f aca="true" t="shared" si="15" ref="F104:F148">D104/B104*100</f>
        <v>86.16035634743876</v>
      </c>
      <c r="G104" s="1">
        <f t="shared" si="12"/>
        <v>76.2526116608192</v>
      </c>
      <c r="H104" s="44">
        <f t="shared" si="13"/>
        <v>932.0999999999995</v>
      </c>
      <c r="I104" s="44">
        <f t="shared" si="14"/>
        <v>1807.199999999998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1384.0999999999985</v>
      </c>
      <c r="C106" s="88">
        <f>C102-C103-C104</f>
        <v>1457.3999999999987</v>
      </c>
      <c r="D106" s="88">
        <f>D102-D103-D104</f>
        <v>1083.0999999999976</v>
      </c>
      <c r="E106" s="84">
        <f>D106/D102*100</f>
        <v>15.432292260344207</v>
      </c>
      <c r="F106" s="84">
        <f t="shared" si="15"/>
        <v>78.253016400549</v>
      </c>
      <c r="G106" s="84">
        <f t="shared" si="12"/>
        <v>74.31727734321385</v>
      </c>
      <c r="H106" s="124">
        <f>B106-D106</f>
        <v>301.0000000000009</v>
      </c>
      <c r="I106" s="124">
        <f t="shared" si="14"/>
        <v>374.3000000000011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554358.9000000001</v>
      </c>
      <c r="C107" s="81">
        <f>SUM(C108:C147)-C115-C119+C148-C139-C140-C109-C112-C122-C123-C137-C131-C129</f>
        <v>590061.2999999999</v>
      </c>
      <c r="D107" s="81">
        <f>SUM(D108:D147)-D115-D119+D148-D139-D140-D109-D112-D122-D123-D137-D131-D129</f>
        <v>568240.0000000002</v>
      </c>
      <c r="E107" s="82">
        <f>D107/D150*100</f>
        <v>41.469874388404385</v>
      </c>
      <c r="F107" s="82">
        <f>D107/B107*100</f>
        <v>102.50399154771397</v>
      </c>
      <c r="G107" s="82">
        <f t="shared" si="12"/>
        <v>96.30185880687317</v>
      </c>
      <c r="H107" s="81">
        <f t="shared" si="13"/>
        <v>-13881.100000000093</v>
      </c>
      <c r="I107" s="81">
        <f t="shared" si="14"/>
        <v>21821.299999999697</v>
      </c>
    </row>
    <row r="108" spans="1:9" ht="37.5">
      <c r="A108" s="28" t="s">
        <v>56</v>
      </c>
      <c r="B108" s="71">
        <f>1960.1-191.1-248.9</f>
        <v>1520.1</v>
      </c>
      <c r="C108" s="67">
        <f>2166.2-191.1-248.9</f>
        <v>1726.1999999999998</v>
      </c>
      <c r="D108" s="72">
        <f>142.7+0.9+78.6+37.4+44.2+140.1+1+20.9+25.7+0.2+2+0.6+0.4+1.8+1.5-0.1+62.6+2.1+1.9+2.9+1+9.8+0.1+52+4.8+2+1.2+2+5.2+2.6-0.1+56.3+43+2.2+0.3+6.3+0.1+46.4+1.3+6.5+1.2+1-0.1+67.4+1.9+0.3+9.6+59+4.3+5.5+18.3+1.1+0.2+37.9+21.6+7.2+1.8+20.6+1.2+1.5+1.3+24.6-0.1+139.8+17.1</f>
        <v>1254.5999999999995</v>
      </c>
      <c r="E108" s="6">
        <f>D108/D107*100</f>
        <v>0.2207869914120792</v>
      </c>
      <c r="F108" s="6">
        <f t="shared" si="15"/>
        <v>82.53404381290702</v>
      </c>
      <c r="G108" s="6">
        <f t="shared" si="12"/>
        <v>72.67987486965588</v>
      </c>
      <c r="H108" s="61">
        <f aca="true" t="shared" si="16" ref="H108:H148">B108-D108</f>
        <v>265.50000000000045</v>
      </c>
      <c r="I108" s="61">
        <f t="shared" si="14"/>
        <v>471.60000000000036</v>
      </c>
    </row>
    <row r="109" spans="1:9" ht="18">
      <c r="A109" s="23" t="s">
        <v>27</v>
      </c>
      <c r="B109" s="74">
        <f>1094-357</f>
        <v>737</v>
      </c>
      <c r="C109" s="44">
        <f>1213.5-357</f>
        <v>856.5</v>
      </c>
      <c r="D109" s="75">
        <f>142.7+0.9+78.6+37.4+20.9+42.5+24.8+0.6+32.7+0.1+16.7+37.6+29.1+37.9+0.6+124.7</f>
        <v>627.8000000000001</v>
      </c>
      <c r="E109" s="1">
        <f>D109/D108*100</f>
        <v>50.03985333970989</v>
      </c>
      <c r="F109" s="1">
        <f t="shared" si="15"/>
        <v>85.18317503392132</v>
      </c>
      <c r="G109" s="1">
        <f t="shared" si="12"/>
        <v>73.29830706363106</v>
      </c>
      <c r="H109" s="44">
        <f t="shared" si="16"/>
        <v>109.19999999999993</v>
      </c>
      <c r="I109" s="44">
        <f t="shared" si="14"/>
        <v>228.69999999999993</v>
      </c>
    </row>
    <row r="110" spans="1:9" ht="34.5" customHeight="1">
      <c r="A110" s="16" t="s">
        <v>84</v>
      </c>
      <c r="B110" s="73">
        <f>745.5+88.7</f>
        <v>834.2</v>
      </c>
      <c r="C110" s="61">
        <f>778.3+88.7</f>
        <v>867</v>
      </c>
      <c r="D110" s="72">
        <f>26.5+20.2+7.7+37.4+7.5+38.9-0.1+38.9+12.6+45.5+9.7+1.6+37.6-0.1+56.2+1.4+57.4+128+14.8+60.5+43.8+9.8-0.1+103.8</f>
        <v>759.4999999999997</v>
      </c>
      <c r="E110" s="6">
        <f>D110/D107*100</f>
        <v>0.13365831338870887</v>
      </c>
      <c r="F110" s="6">
        <f>D110/B110*100</f>
        <v>91.04531287461036</v>
      </c>
      <c r="G110" s="6">
        <f t="shared" si="12"/>
        <v>87.60092272202995</v>
      </c>
      <c r="H110" s="61">
        <f t="shared" si="16"/>
        <v>74.70000000000039</v>
      </c>
      <c r="I110" s="61">
        <f t="shared" si="14"/>
        <v>107.50000000000034</v>
      </c>
    </row>
    <row r="111" spans="1:9" s="37" customFormat="1" ht="34.5" customHeight="1">
      <c r="A111" s="16" t="s">
        <v>60</v>
      </c>
      <c r="B111" s="73">
        <f>314.4-180.6+2.8-2.8</f>
        <v>133.79999999999998</v>
      </c>
      <c r="C111" s="53">
        <f>774.1-429.7-180.6</f>
        <v>163.80000000000004</v>
      </c>
      <c r="D111" s="76">
        <f>10.5+18</f>
        <v>28.5</v>
      </c>
      <c r="E111" s="6">
        <f>D111/D107*100</f>
        <v>0.005015486414191185</v>
      </c>
      <c r="F111" s="6">
        <f t="shared" si="15"/>
        <v>21.300448430493276</v>
      </c>
      <c r="G111" s="6">
        <f t="shared" si="12"/>
        <v>17.399267399267394</v>
      </c>
      <c r="H111" s="61">
        <f t="shared" si="16"/>
        <v>105.29999999999998</v>
      </c>
      <c r="I111" s="61">
        <f t="shared" si="14"/>
        <v>135.30000000000004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102</v>
      </c>
      <c r="B113" s="73">
        <v>50</v>
      </c>
      <c r="C113" s="61">
        <v>50</v>
      </c>
      <c r="D113" s="72">
        <f>5.8+4.7+0.7+0.7+1+13.8+3.2+2.2+0.2+3.3</f>
        <v>35.6</v>
      </c>
      <c r="E113" s="6">
        <f>D113/D107*100</f>
        <v>0.006264958468252848</v>
      </c>
      <c r="F113" s="6">
        <f t="shared" si="15"/>
        <v>71.2</v>
      </c>
      <c r="G113" s="6">
        <f t="shared" si="12"/>
        <v>71.2</v>
      </c>
      <c r="H113" s="61">
        <f t="shared" si="16"/>
        <v>14.399999999999999</v>
      </c>
      <c r="I113" s="61">
        <f t="shared" si="14"/>
        <v>14.399999999999999</v>
      </c>
    </row>
    <row r="114" spans="1:9" ht="37.5">
      <c r="A114" s="16" t="s">
        <v>41</v>
      </c>
      <c r="B114" s="73">
        <f>1615.3-100</f>
        <v>1515.3</v>
      </c>
      <c r="C114" s="61">
        <f>1826-100</f>
        <v>1726</v>
      </c>
      <c r="D114" s="72">
        <f>82.2+4.4+0.2+16.8+100.8+0.1+8.3+21.3+93.2+14.5+11.8+88.2+4.6+1.1+5.8+6+2.3+112.3+12.6+0.8+1.5+0.2+0.2+72.9+5.6+10.9+0.3+11.7+5.8+0.6+108.3+0.1+3+1.3+29.1+101.7+7.2+3.2+0.7+0.2+0.2+0.2+104.4+5.6+2.8+2.6+104.7+5.8+6.4+2.6+1.6+3.5+10.3+1.7+3.8+1.7+138.1+0.1+0.2+5.7</f>
        <v>1353.8</v>
      </c>
      <c r="E114" s="6">
        <f>D114/D107*100</f>
        <v>0.23824440377305353</v>
      </c>
      <c r="F114" s="6">
        <f t="shared" si="15"/>
        <v>89.34204447964099</v>
      </c>
      <c r="G114" s="6">
        <f t="shared" si="12"/>
        <v>78.43568945538819</v>
      </c>
      <c r="H114" s="61">
        <f t="shared" si="16"/>
        <v>161.5</v>
      </c>
      <c r="I114" s="61">
        <f t="shared" si="14"/>
        <v>372.20000000000005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103</v>
      </c>
      <c r="B116" s="73">
        <v>0</v>
      </c>
      <c r="C116" s="53">
        <f>264.5-264.5</f>
        <v>0</v>
      </c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15+30.5+11.5+8</f>
        <v>65</v>
      </c>
      <c r="E117" s="6">
        <f>D117/D107*100</f>
        <v>0.011438828663944807</v>
      </c>
      <c r="F117" s="6">
        <f>D117/B117*100</f>
        <v>59.09090909090909</v>
      </c>
      <c r="G117" s="6">
        <f t="shared" si="12"/>
        <v>59.09090909090909</v>
      </c>
      <c r="H117" s="61">
        <f t="shared" si="16"/>
        <v>45</v>
      </c>
      <c r="I117" s="61">
        <f t="shared" si="14"/>
        <v>45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17.1-0.3+0.8+0.3+21.4+4.2+0.3+17.6+4.2+0.8+0.3+16.8+0.3+2+2.2+17.7+1.1+4.1+17.7+0.8+4.3+0.3+1.6+0.3+4+0.8+1.7+3+17.7+1.1+2.9+17.7+1.2+1.1+2.7+1.4+17.7+2.9</f>
        <v>211.79999999999995</v>
      </c>
      <c r="E118" s="6">
        <f>D118/D107*100</f>
        <v>0.03727298324651553</v>
      </c>
      <c r="F118" s="6">
        <f t="shared" si="15"/>
        <v>100.47438330170775</v>
      </c>
      <c r="G118" s="6">
        <f t="shared" si="12"/>
        <v>90.5128205128205</v>
      </c>
      <c r="H118" s="61">
        <f t="shared" si="16"/>
        <v>-0.9999999999999432</v>
      </c>
      <c r="I118" s="61">
        <f t="shared" si="14"/>
        <v>22.200000000000045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17.1-0.3+16.8+16.8+16.8+17.7+17.7+17.7+17.7+17.7</f>
        <v>155.7</v>
      </c>
      <c r="E119" s="1">
        <f>D119/D118*100</f>
        <v>73.51274787535412</v>
      </c>
      <c r="F119" s="1">
        <f t="shared" si="15"/>
        <v>100</v>
      </c>
      <c r="G119" s="1">
        <f t="shared" si="12"/>
        <v>89.17525773195875</v>
      </c>
      <c r="H119" s="44">
        <f t="shared" si="16"/>
        <v>0</v>
      </c>
      <c r="I119" s="44">
        <f t="shared" si="14"/>
        <v>18.900000000000006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f>488.7-82.4</f>
        <v>406.29999999999995</v>
      </c>
      <c r="C121" s="53">
        <f>204.9+375.8-12-82.4</f>
        <v>486.30000000000007</v>
      </c>
      <c r="D121" s="76">
        <f>136.8+10+57.4-0.1+22.6+0.1</f>
        <v>226.8</v>
      </c>
      <c r="E121" s="17">
        <f>D121/D107*100</f>
        <v>0.039912712938195115</v>
      </c>
      <c r="F121" s="6">
        <f t="shared" si="15"/>
        <v>55.82082205267045</v>
      </c>
      <c r="G121" s="6">
        <f t="shared" si="12"/>
        <v>46.637877853177045</v>
      </c>
      <c r="H121" s="61">
        <f t="shared" si="16"/>
        <v>179.49999999999994</v>
      </c>
      <c r="I121" s="61">
        <f t="shared" si="14"/>
        <v>259.50000000000006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f>26438.7+500-20.8</f>
        <v>26917.9</v>
      </c>
      <c r="C124" s="53">
        <f>5096.9+1707.5+6000+16669.6-700+350-20.8</f>
        <v>29103.2</v>
      </c>
      <c r="D124" s="76">
        <f>3776+7.6+1124+100+14.3+14.5+0.1+20.4+3015.8+9+1156.5+27+0.1+1146.6+5.2+681+29.9+16.3+480.3+117.6+5542.8+148.8+1446+310+974.1+0.1+1858.9+80.5+1043.3+1734.7+500+1536.4+966.2</f>
        <v>27884</v>
      </c>
      <c r="E124" s="17">
        <f>D124/D107*100</f>
        <v>4.907081514852877</v>
      </c>
      <c r="F124" s="6">
        <f t="shared" si="15"/>
        <v>103.58906155383592</v>
      </c>
      <c r="G124" s="6">
        <f t="shared" si="12"/>
        <v>95.81076994969625</v>
      </c>
      <c r="H124" s="61">
        <f t="shared" si="16"/>
        <v>-966.0999999999985</v>
      </c>
      <c r="I124" s="61">
        <f t="shared" si="14"/>
        <v>1219.2000000000007</v>
      </c>
    </row>
    <row r="125" spans="1:9" s="2" customFormat="1" ht="18.75">
      <c r="A125" s="16" t="s">
        <v>105</v>
      </c>
      <c r="B125" s="73">
        <f>875-72-560</f>
        <v>243</v>
      </c>
      <c r="C125" s="53">
        <f>1239-364-72-560-40</f>
        <v>203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243</v>
      </c>
      <c r="I125" s="61">
        <f t="shared" si="14"/>
        <v>203</v>
      </c>
    </row>
    <row r="126" spans="1:9" s="2" customFormat="1" ht="37.5">
      <c r="A126" s="16" t="s">
        <v>104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f>95.1-4.4</f>
        <v>90.69999999999999</v>
      </c>
      <c r="C127" s="53">
        <v>95.1</v>
      </c>
      <c r="D127" s="76">
        <f>4.5+17.5+0.7+32.3</f>
        <v>55</v>
      </c>
      <c r="E127" s="17">
        <f>D127/D107*100</f>
        <v>0.00967900886949176</v>
      </c>
      <c r="F127" s="6">
        <f t="shared" si="15"/>
        <v>60.63947078280045</v>
      </c>
      <c r="G127" s="6">
        <f t="shared" si="12"/>
        <v>57.83385909568876</v>
      </c>
      <c r="H127" s="61">
        <f t="shared" si="16"/>
        <v>35.69999999999999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f>983-50</f>
        <v>933</v>
      </c>
      <c r="D128" s="76">
        <f>2.8+14.4+2.8+8.8+3.7+4+2.8+5.8+9.6+4.2+2.7+0.2+2.9+76+0.5+2.6+4.7+5.9+2.9+2.9+16.5+2.9+3.4+118.6+34.2+37.5+8.6+108.7+17.3+1.3+0.8+2.1</f>
        <v>512.1</v>
      </c>
      <c r="E128" s="17">
        <f>D128/D107*100</f>
        <v>0.09012037167394055</v>
      </c>
      <c r="F128" s="6">
        <f t="shared" si="15"/>
        <v>59.52574683250029</v>
      </c>
      <c r="G128" s="6">
        <f t="shared" si="12"/>
        <v>54.88745980707396</v>
      </c>
      <c r="H128" s="61">
        <f t="shared" si="16"/>
        <v>348.19999999999993</v>
      </c>
      <c r="I128" s="61">
        <f t="shared" si="14"/>
        <v>420.9</v>
      </c>
    </row>
    <row r="129" spans="1:9" s="32" customFormat="1" ht="18">
      <c r="A129" s="23" t="s">
        <v>98</v>
      </c>
      <c r="B129" s="74">
        <f>398.1-20</f>
        <v>378.1</v>
      </c>
      <c r="C129" s="44">
        <f>851.8-335.4-20</f>
        <v>496.4</v>
      </c>
      <c r="D129" s="75">
        <f>2.8+2.8-0.1+2.8+2.7+2.9+70.7+4.7+2.9+2.9+2.9+2.9+108.7+2.9+0.1</f>
        <v>212.60000000000002</v>
      </c>
      <c r="E129" s="1">
        <f>D129/D128*100</f>
        <v>41.515329037297406</v>
      </c>
      <c r="F129" s="1">
        <f>D129/B129*100</f>
        <v>56.2285109759323</v>
      </c>
      <c r="G129" s="1">
        <f t="shared" si="12"/>
        <v>42.82836422240129</v>
      </c>
      <c r="H129" s="44">
        <f t="shared" si="16"/>
        <v>165.5</v>
      </c>
      <c r="I129" s="44">
        <f t="shared" si="14"/>
        <v>283.79999999999995</v>
      </c>
    </row>
    <row r="130" spans="1:9" s="2" customFormat="1" ht="37.5">
      <c r="A130" s="16" t="s">
        <v>106</v>
      </c>
      <c r="B130" s="73">
        <f>300-200</f>
        <v>100</v>
      </c>
      <c r="C130" s="53">
        <f>400-200</f>
        <v>200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100</v>
      </c>
      <c r="I130" s="61">
        <f t="shared" si="14"/>
        <v>200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0.8+2.3+1.8+1+14.8+2.3+0.1+3.7+14.8+0.6</f>
        <v>42.2</v>
      </c>
      <c r="E132" s="17">
        <f>D132/D107*100</f>
        <v>0.00742643953259186</v>
      </c>
      <c r="F132" s="6">
        <f t="shared" si="15"/>
        <v>67.19745222929937</v>
      </c>
      <c r="G132" s="6">
        <f t="shared" si="12"/>
        <v>65.83463338533542</v>
      </c>
      <c r="H132" s="61">
        <f t="shared" si="16"/>
        <v>20.599999999999994</v>
      </c>
      <c r="I132" s="61">
        <f>C132-D132</f>
        <v>21.89999999999999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</f>
        <v>16.799999999999997</v>
      </c>
      <c r="E134" s="17">
        <f>D134/D107*100</f>
        <v>0.002956497254681119</v>
      </c>
      <c r="F134" s="6">
        <f t="shared" si="15"/>
        <v>83.99999999999999</v>
      </c>
      <c r="G134" s="6">
        <f t="shared" si="12"/>
        <v>16.799999999999997</v>
      </c>
      <c r="H134" s="61">
        <f t="shared" si="16"/>
        <v>3.200000000000003</v>
      </c>
      <c r="I134" s="61">
        <f t="shared" si="14"/>
        <v>83.2</v>
      </c>
    </row>
    <row r="135" spans="1:9" s="2" customFormat="1" ht="37.5">
      <c r="A135" s="16" t="s">
        <v>59</v>
      </c>
      <c r="B135" s="73">
        <v>40</v>
      </c>
      <c r="C135" s="53">
        <v>40</v>
      </c>
      <c r="D135" s="76"/>
      <c r="E135" s="17">
        <f>D135/D107*100</f>
        <v>0</v>
      </c>
      <c r="F135" s="6">
        <f t="shared" si="15"/>
        <v>0</v>
      </c>
      <c r="G135" s="6">
        <f t="shared" si="12"/>
        <v>0</v>
      </c>
      <c r="H135" s="61">
        <f t="shared" si="16"/>
        <v>40</v>
      </c>
      <c r="I135" s="61">
        <f t="shared" si="14"/>
        <v>40</v>
      </c>
    </row>
    <row r="136" spans="1:9" s="2" customFormat="1" ht="37.5">
      <c r="A136" s="16" t="s">
        <v>90</v>
      </c>
      <c r="B136" s="73">
        <f>320.7+2.8</f>
        <v>323.5</v>
      </c>
      <c r="C136" s="53">
        <v>363.7</v>
      </c>
      <c r="D136" s="76">
        <f>5.2+0.3+2.7+0.1+0.5+0.2+13.8+39.2+5+5.9+2+6.5+0.1+32.4+5+3.9+0.2+0.7+8.4+0.1+0.1+3+4.4+0.1+5.5+21.4+0.1+4.5+0.6+5.7+0.4+24.5+1.5+1.7+1.6+1.3+1.6+9.9+1.4+0.4+6.1+0.3+0.5+0.1+17.8+1.9+12.4</f>
        <v>261</v>
      </c>
      <c r="E136" s="17">
        <f>D136/D107*100</f>
        <v>0.04593129663522453</v>
      </c>
      <c r="F136" s="6">
        <f t="shared" si="15"/>
        <v>80.68006182380216</v>
      </c>
      <c r="G136" s="6">
        <f>D136/C136*100</f>
        <v>71.76244157272478</v>
      </c>
      <c r="H136" s="61">
        <f t="shared" si="16"/>
        <v>62.5</v>
      </c>
      <c r="I136" s="61">
        <f t="shared" si="14"/>
        <v>102.69999999999999</v>
      </c>
    </row>
    <row r="137" spans="1:9" s="32" customFormat="1" ht="18">
      <c r="A137" s="23" t="s">
        <v>27</v>
      </c>
      <c r="B137" s="74">
        <f>224.4+17.8</f>
        <v>242.20000000000002</v>
      </c>
      <c r="C137" s="44">
        <f>218.8+36.5+17.8</f>
        <v>273.1</v>
      </c>
      <c r="D137" s="75">
        <f>0.3+39.3+0.2+2+32.4+0.2-0.1+5.4+0.1+5.5+21.4+0.1+0.1+22.6+1.7+9.9+0.6+0.2+6.1+17.8+0.4+11</f>
        <v>177.19999999999996</v>
      </c>
      <c r="E137" s="103">
        <f>D137/D136*100</f>
        <v>67.8927203065134</v>
      </c>
      <c r="F137" s="1">
        <f t="shared" si="15"/>
        <v>73.16267547481418</v>
      </c>
      <c r="G137" s="1">
        <f>D137/C137*100</f>
        <v>64.88465763456607</v>
      </c>
      <c r="H137" s="44">
        <f t="shared" si="16"/>
        <v>65.00000000000006</v>
      </c>
      <c r="I137" s="44">
        <f t="shared" si="14"/>
        <v>95.90000000000006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26.5+42.3+30.1+3.6+8.6+42.3+0.1+5.7+31.9+5.2+42.5+11.7+55+45.4+28.3+17.8+9.6+33.4+0.9+26.8+46.9+38.1-0.1+30.6+29.1+43.2+28.9+29.5+0.1+43.5+140.8+0.1+38.4+46.8+37.3+6.7+42.3+4.9+48.5+0.1+16.1</f>
        <v>1139.4999999999998</v>
      </c>
      <c r="E138" s="17">
        <f>D138/D107*100</f>
        <v>0.2005314655779247</v>
      </c>
      <c r="F138" s="6">
        <f t="shared" si="15"/>
        <v>98.2666436702311</v>
      </c>
      <c r="G138" s="6">
        <f t="shared" si="12"/>
        <v>90.63792554883867</v>
      </c>
      <c r="H138" s="61">
        <f t="shared" si="16"/>
        <v>20.100000000000136</v>
      </c>
      <c r="I138" s="61">
        <f t="shared" si="14"/>
        <v>117.70000000000027</v>
      </c>
    </row>
    <row r="139" spans="1:9" s="32" customFormat="1" ht="18">
      <c r="A139" s="33" t="s">
        <v>47</v>
      </c>
      <c r="B139" s="74">
        <v>813</v>
      </c>
      <c r="C139" s="44">
        <f>886.2+1.2</f>
        <v>887.4000000000001</v>
      </c>
      <c r="D139" s="75">
        <f>26.5+39.8+30.1+42.1+0.1+31.9+40.5+11.2+38.1+30.1+28.3+17.4+33.4+8.9+24.2+37.9+28.8+43.2+29.4+43.5-0.1+36.5+38.4+39.2+36.7-0.1+33.6+39+4.1</f>
        <v>812.7</v>
      </c>
      <c r="E139" s="1">
        <f>D139/D138*100</f>
        <v>71.32075471698116</v>
      </c>
      <c r="F139" s="1">
        <f aca="true" t="shared" si="17" ref="F139:F147">D139/B139*100</f>
        <v>99.96309963099631</v>
      </c>
      <c r="G139" s="1">
        <f t="shared" si="12"/>
        <v>91.58215010141988</v>
      </c>
      <c r="H139" s="44">
        <f t="shared" si="16"/>
        <v>0.2999999999999545</v>
      </c>
      <c r="I139" s="44">
        <f t="shared" si="14"/>
        <v>74.70000000000005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8.6+0.2+0.3+5.1+0.4+5.3+0.3+0.3+0.2+0.3+0.3+0.3+2.3+3.2</f>
        <v>27.1</v>
      </c>
      <c r="E140" s="1">
        <f>D140/D138*100</f>
        <v>2.3782360684510757</v>
      </c>
      <c r="F140" s="1">
        <f t="shared" si="17"/>
        <v>90.33333333333334</v>
      </c>
      <c r="G140" s="1">
        <f>D140/C140*100</f>
        <v>68.95674300254454</v>
      </c>
      <c r="H140" s="44">
        <f t="shared" si="16"/>
        <v>2.8999999999999986</v>
      </c>
      <c r="I140" s="44">
        <f t="shared" si="14"/>
        <v>12.199999999999996</v>
      </c>
    </row>
    <row r="141" spans="1:9" s="2" customFormat="1" ht="56.25">
      <c r="A141" s="18" t="s">
        <v>95</v>
      </c>
      <c r="B141" s="73">
        <v>499.1</v>
      </c>
      <c r="C141" s="53">
        <f>345+154.1+25</f>
        <v>524.1</v>
      </c>
      <c r="D141" s="76">
        <f>345+154.1</f>
        <v>499.1</v>
      </c>
      <c r="E141" s="17">
        <f>D141/D107*100</f>
        <v>0.0878326059411516</v>
      </c>
      <c r="F141" s="99">
        <f t="shared" si="17"/>
        <v>100</v>
      </c>
      <c r="G141" s="6">
        <f t="shared" si="12"/>
        <v>95.22991795458881</v>
      </c>
      <c r="H141" s="61">
        <f t="shared" si="16"/>
        <v>0</v>
      </c>
      <c r="I141" s="61">
        <f t="shared" si="14"/>
        <v>25</v>
      </c>
    </row>
    <row r="142" spans="1:9" s="2" customFormat="1" ht="18.75">
      <c r="A142" s="18" t="s">
        <v>107</v>
      </c>
      <c r="B142" s="73">
        <v>3220</v>
      </c>
      <c r="C142" s="53">
        <f>2620+600</f>
        <v>3220</v>
      </c>
      <c r="D142" s="76">
        <f>2620+600</f>
        <v>3220</v>
      </c>
      <c r="E142" s="17">
        <f>D142/D107*100</f>
        <v>0.5666619738138813</v>
      </c>
      <c r="F142" s="99">
        <f>D142/B142*100</f>
        <v>100</v>
      </c>
      <c r="G142" s="6">
        <f t="shared" si="12"/>
        <v>100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92</v>
      </c>
      <c r="B143" s="73">
        <f>39981.9+8.4+185.2+0.1</f>
        <v>40175.6</v>
      </c>
      <c r="C143" s="53">
        <f>16744+15000+2000-2607.4+8610.1+1327.3+3638+185.2+0.1+3320</f>
        <v>48217.299999999996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+115.9+2707+23.9+196.6+96.9+110+1.9+171+204.5+1021.7+1367+395.7+2551.8</f>
        <v>41689.399999999994</v>
      </c>
      <c r="E143" s="17">
        <f>D143/D107*100</f>
        <v>7.3365831338870855</v>
      </c>
      <c r="F143" s="99">
        <f t="shared" si="17"/>
        <v>103.7679586614761</v>
      </c>
      <c r="G143" s="6">
        <f t="shared" si="12"/>
        <v>86.46149825892367</v>
      </c>
      <c r="H143" s="61">
        <f t="shared" si="16"/>
        <v>-1513.7999999999956</v>
      </c>
      <c r="I143" s="61">
        <f t="shared" si="14"/>
        <v>6527.9000000000015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2094+16+20.8</f>
        <v>2130.8</v>
      </c>
      <c r="E145" s="17">
        <f>D145/D107*100</f>
        <v>0.37498240180205533</v>
      </c>
      <c r="F145" s="99">
        <f t="shared" si="17"/>
        <v>94.80334579106604</v>
      </c>
      <c r="G145" s="6">
        <f t="shared" si="12"/>
        <v>91.97168508287294</v>
      </c>
      <c r="H145" s="61">
        <f t="shared" si="16"/>
        <v>116.79999999999973</v>
      </c>
      <c r="I145" s="61">
        <f t="shared" si="14"/>
        <v>186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0.10606433901168516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445905.1+1534-500+735.8-1038.5-424.7+199.1</f>
        <v>446410.79999999993</v>
      </c>
      <c r="C147" s="53">
        <f>473452.9-2494.7-2700.6+1093.8-24.3-424.7+199.1-665.3</f>
        <v>468436.2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+4743.5+940.3+204.9+1286.7+5673.6+7+22.5+4.6+22.2+2722.1+9442.7+12+2389+942.2</f>
        <v>458861.4000000001</v>
      </c>
      <c r="E147" s="17">
        <f>D147/D107*100</f>
        <v>80.75133746304377</v>
      </c>
      <c r="F147" s="6">
        <f t="shared" si="17"/>
        <v>102.78904542632037</v>
      </c>
      <c r="G147" s="6">
        <f t="shared" si="12"/>
        <v>97.95600766977446</v>
      </c>
      <c r="H147" s="61">
        <f t="shared" si="16"/>
        <v>-12450.600000000151</v>
      </c>
      <c r="I147" s="61">
        <f t="shared" si="14"/>
        <v>9574.79999999993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805.6+805.6+805.6+805.6+805.6+805.6+805.6+805.6+805.6+805.6+805.6+805.6+805.6+805.6+805.6+805.6+805.6+805.6+805.6+805.6+805.6+805.6+805.6+805.6+805.6+805.6+805.6+805.6+805.6+805.6+805.6+805.6+805.6+805.6</f>
        <v>27390.399999999987</v>
      </c>
      <c r="E148" s="17">
        <f>D148/D107*100</f>
        <v>4.820216809798673</v>
      </c>
      <c r="F148" s="6">
        <f t="shared" si="15"/>
        <v>103.03030303030299</v>
      </c>
      <c r="G148" s="6">
        <f t="shared" si="12"/>
        <v>94.44444444444441</v>
      </c>
      <c r="H148" s="61">
        <f t="shared" si="16"/>
        <v>-805.5999999999876</v>
      </c>
      <c r="I148" s="61">
        <f t="shared" si="14"/>
        <v>1611.2000000000116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565198.4000000001</v>
      </c>
      <c r="C149" s="77">
        <f>C43+C69+C72+C77+C79+C87+C102+C107+C100+C84+C98</f>
        <v>602893.2</v>
      </c>
      <c r="D149" s="53">
        <f>D43+D69+D72+D77+D79+D87+D102+D107+D100+D84+D98</f>
        <v>576575.6000000002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1416874.8000000003</v>
      </c>
      <c r="C150" s="47">
        <f>C6+C18+C33+C43+C51+C59+C69+C72+C77+C79+C87+C90+C95+C102+C107+C100+C84+C98+C45</f>
        <v>1539918.4</v>
      </c>
      <c r="D150" s="47">
        <f>D6+D18+D33+D43+D51+D59+D69+D72+D77+D79+D87+D90+D95+D102+D107+D100+D84+D98+D45</f>
        <v>1370247.7000000002</v>
      </c>
      <c r="E150" s="31">
        <v>100</v>
      </c>
      <c r="F150" s="3">
        <f>D150/B150*100</f>
        <v>96.709158776767</v>
      </c>
      <c r="G150" s="3">
        <f aca="true" t="shared" si="18" ref="G150:G156">D150/C150*100</f>
        <v>88.9818382584428</v>
      </c>
      <c r="H150" s="47">
        <f aca="true" t="shared" si="19" ref="H150:H156">B150-D150</f>
        <v>46627.10000000009</v>
      </c>
      <c r="I150" s="47">
        <f aca="true" t="shared" si="20" ref="I150:I156">C150-D150</f>
        <v>169670.69999999972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558634.2999999999</v>
      </c>
      <c r="C151" s="60">
        <f>C8+C20+C34+C52+C60+C91+C115+C119+C46+C139+C131+C103</f>
        <v>612995.1999999997</v>
      </c>
      <c r="D151" s="60">
        <f>D8+D20+D34+D52+D60+D91+D115+D119+D46+D139+D131+D103</f>
        <v>550692.2999999997</v>
      </c>
      <c r="E151" s="6">
        <f>D151/D150*100</f>
        <v>40.18925191408821</v>
      </c>
      <c r="F151" s="6">
        <f aca="true" t="shared" si="21" ref="F151:F156">D151/B151*100</f>
        <v>98.57831858874397</v>
      </c>
      <c r="G151" s="6">
        <f t="shared" si="18"/>
        <v>89.83631519463773</v>
      </c>
      <c r="H151" s="61">
        <f t="shared" si="19"/>
        <v>7942.000000000233</v>
      </c>
      <c r="I151" s="72">
        <f t="shared" si="20"/>
        <v>62302.90000000002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103727.50000000001</v>
      </c>
      <c r="C152" s="61">
        <f>C11+C23+C36+C55+C62+C92+C49+C140+C109+C112+C96+C137</f>
        <v>121016</v>
      </c>
      <c r="D152" s="61">
        <f>D11+D23+D36+D55+D62+D92+D49+D140+D109+D112+D96+D137</f>
        <v>71629.8</v>
      </c>
      <c r="E152" s="6">
        <f>D152/D150*100</f>
        <v>5.227507406142699</v>
      </c>
      <c r="F152" s="6">
        <f t="shared" si="21"/>
        <v>69.05574702947627</v>
      </c>
      <c r="G152" s="6">
        <f t="shared" si="18"/>
        <v>59.19035499438091</v>
      </c>
      <c r="H152" s="61">
        <f t="shared" si="19"/>
        <v>32097.70000000001</v>
      </c>
      <c r="I152" s="72">
        <f t="shared" si="20"/>
        <v>49386.2</v>
      </c>
      <c r="K152" s="39"/>
      <c r="L152" s="90"/>
    </row>
    <row r="153" spans="1:12" ht="18.75">
      <c r="A153" s="18" t="s">
        <v>1</v>
      </c>
      <c r="B153" s="60">
        <f>B22+B10+B54+B48+B61+B35+B123</f>
        <v>33588.100000000006</v>
      </c>
      <c r="C153" s="60">
        <f>C22+C10+C54+C48+C61+C35+C123</f>
        <v>34579.6</v>
      </c>
      <c r="D153" s="60">
        <f>D22+D10+D54+D48+D61+D35+D123</f>
        <v>30695.800000000017</v>
      </c>
      <c r="E153" s="6">
        <f>D153/D150*100</f>
        <v>2.2401643148169494</v>
      </c>
      <c r="F153" s="6">
        <f t="shared" si="21"/>
        <v>91.38891452627571</v>
      </c>
      <c r="G153" s="6">
        <f t="shared" si="18"/>
        <v>88.76852248146311</v>
      </c>
      <c r="H153" s="61">
        <f t="shared" si="19"/>
        <v>2892.2999999999884</v>
      </c>
      <c r="I153" s="72">
        <f t="shared" si="20"/>
        <v>3883.799999999981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23407.2</v>
      </c>
      <c r="C154" s="60">
        <f>C12+C24+C104+C63+C38+C93+C129+C56</f>
        <v>25920.399999999998</v>
      </c>
      <c r="D154" s="60">
        <f>D12+D24+D104+D63+D38+D93+D129+D56</f>
        <v>21770.999999999996</v>
      </c>
      <c r="E154" s="6">
        <f>D154/D150*100</f>
        <v>1.588836821255018</v>
      </c>
      <c r="F154" s="6">
        <f t="shared" si="21"/>
        <v>93.00984312519222</v>
      </c>
      <c r="G154" s="6">
        <f t="shared" si="18"/>
        <v>83.99175938642921</v>
      </c>
      <c r="H154" s="61">
        <f t="shared" si="19"/>
        <v>1636.2000000000044</v>
      </c>
      <c r="I154" s="72">
        <f t="shared" si="20"/>
        <v>4149.4000000000015</v>
      </c>
      <c r="K154" s="39"/>
      <c r="L154" s="90"/>
    </row>
    <row r="155" spans="1:12" ht="18.75">
      <c r="A155" s="18" t="s">
        <v>2</v>
      </c>
      <c r="B155" s="60">
        <f>B9+B21+B47+B53+B122</f>
        <v>20400</v>
      </c>
      <c r="C155" s="60">
        <f>C9+C21+C47+C53+C122</f>
        <v>22170.1</v>
      </c>
      <c r="D155" s="60">
        <f>D9+D21+D47+D53+D122</f>
        <v>19955.69999999999</v>
      </c>
      <c r="E155" s="6">
        <f>D155/D150*100</f>
        <v>1.4563571243359859</v>
      </c>
      <c r="F155" s="6">
        <f t="shared" si="21"/>
        <v>97.82205882352936</v>
      </c>
      <c r="G155" s="6">
        <f t="shared" si="18"/>
        <v>90.01177261266297</v>
      </c>
      <c r="H155" s="61">
        <f t="shared" si="19"/>
        <v>444.3000000000102</v>
      </c>
      <c r="I155" s="72">
        <f t="shared" si="20"/>
        <v>2214.4000000000087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677117.7000000004</v>
      </c>
      <c r="C156" s="78">
        <f>C150-C151-C152-C153-C154-C155</f>
        <v>723237.1000000002</v>
      </c>
      <c r="D156" s="78">
        <f>D150-D151-D152-D153-D154-D155</f>
        <v>675503.1000000004</v>
      </c>
      <c r="E156" s="36">
        <f>D156/D150*100</f>
        <v>49.29788241936114</v>
      </c>
      <c r="F156" s="36">
        <f t="shared" si="21"/>
        <v>99.76154810308459</v>
      </c>
      <c r="G156" s="36">
        <f t="shared" si="18"/>
        <v>93.39995141289077</v>
      </c>
      <c r="H156" s="127">
        <f t="shared" si="19"/>
        <v>1614.5999999999767</v>
      </c>
      <c r="I156" s="127">
        <f t="shared" si="20"/>
        <v>47733.99999999977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1539918.4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1370247.7000000002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1539918.4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1370247.7000000002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2016-12-01T08:52:42Z</cp:lastPrinted>
  <dcterms:created xsi:type="dcterms:W3CDTF">2000-06-20T04:48:00Z</dcterms:created>
  <dcterms:modified xsi:type="dcterms:W3CDTF">2016-12-12T15:56:19Z</dcterms:modified>
  <cp:category/>
  <cp:version/>
  <cp:contentType/>
  <cp:contentStatus/>
</cp:coreProperties>
</file>